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VOL\Prislofter for overskudsvarme\2023-udmeldelsen\Udmelding\"/>
    </mc:Choice>
  </mc:AlternateContent>
  <bookViews>
    <workbookView xWindow="0" yWindow="0" windowWidth="28800" windowHeight="135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6" i="1"/>
  <c r="D25" i="1"/>
  <c r="H24" i="1" l="1"/>
  <c r="D14" i="1" s="1"/>
  <c r="D23" i="1" s="1"/>
  <c r="E8" i="1"/>
  <c r="E22" i="1" s="1"/>
  <c r="E26" i="1" s="1"/>
  <c r="E27" i="1" s="1"/>
  <c r="E18" i="1"/>
  <c r="E16" i="1"/>
  <c r="D15" i="1"/>
  <c r="E14" i="1"/>
  <c r="E23" i="1" s="1"/>
  <c r="D13" i="1"/>
  <c r="E12" i="1"/>
  <c r="D12" i="1"/>
  <c r="E11" i="1"/>
  <c r="D11" i="1"/>
  <c r="E10" i="1"/>
  <c r="E24" i="1" s="1"/>
  <c r="D10" i="1"/>
  <c r="E9" i="1"/>
  <c r="D9" i="1"/>
  <c r="D24" i="1" s="1"/>
  <c r="D8" i="1"/>
  <c r="D22" i="1" s="1"/>
  <c r="E7" i="1"/>
  <c r="D7" i="1"/>
  <c r="D32" i="1" l="1"/>
  <c r="D33" i="1" s="1"/>
</calcChain>
</file>

<file path=xl/sharedStrings.xml><?xml version="1.0" encoding="utf-8"?>
<sst xmlns="http://schemas.openxmlformats.org/spreadsheetml/2006/main" count="112" uniqueCount="71">
  <si>
    <t>Prisudvikling</t>
  </si>
  <si>
    <t>Kilde</t>
  </si>
  <si>
    <t>Inflation 2015-2024</t>
  </si>
  <si>
    <t>Energistyrelsens Samfundsøkonomiske beregningsforudsætninger for energipriser og emissioner, 2022</t>
  </si>
  <si>
    <t>Inflation 2020-2024</t>
  </si>
  <si>
    <t>Inflation 2021-2024</t>
  </si>
  <si>
    <t>Valuta €-kr.</t>
  </si>
  <si>
    <t>Afgifter</t>
  </si>
  <si>
    <t>Afgift, flis, 2023, kr./GJ</t>
  </si>
  <si>
    <t>Afgiftssatser, SKAT, https://info.skat.dk/data.aspx?oid=1946602</t>
  </si>
  <si>
    <t>El-varmeafgift, øre pr. kWh</t>
  </si>
  <si>
    <t xml:space="preserve">Satser for afgiftslempelse, elafgiftsloven, SKAT, https://info.skat.dk/data.aspx?oid=2061613 </t>
  </si>
  <si>
    <t>Energipriser</t>
  </si>
  <si>
    <t>Elpriser</t>
  </si>
  <si>
    <t>kr./MWh</t>
  </si>
  <si>
    <t>Forventet elpris 2024</t>
  </si>
  <si>
    <t>Energistyrelsen</t>
  </si>
  <si>
    <t>Historisk</t>
  </si>
  <si>
    <t>OKT21-SEP23</t>
  </si>
  <si>
    <t>Vægtet elpris</t>
  </si>
  <si>
    <t>Vægtning</t>
  </si>
  <si>
    <t>Forventet elpris</t>
  </si>
  <si>
    <t>Historisk elpris</t>
  </si>
  <si>
    <t>Vægtet spotpris</t>
  </si>
  <si>
    <t>Flispris, kedler (an værk)</t>
  </si>
  <si>
    <t>2024 (2021-priser), kr./GJ</t>
  </si>
  <si>
    <t>El-tarif</t>
  </si>
  <si>
    <t>SØB2022 (2021-priser), &gt;70.000</t>
  </si>
  <si>
    <t>Ciborrente</t>
  </si>
  <si>
    <t>Primo juli - ultimo september 2023</t>
  </si>
  <si>
    <t>Danish Financial Benchmark Facility</t>
  </si>
  <si>
    <t>Fliskeddel og varmepumpe</t>
  </si>
  <si>
    <t>Luft-vand varmepumper</t>
  </si>
  <si>
    <t>Fliskedler</t>
  </si>
  <si>
    <t>10 MW (stor)</t>
  </si>
  <si>
    <t>6 MW (lille)</t>
  </si>
  <si>
    <t>Investering</t>
  </si>
  <si>
    <t>Energistyrelsens Teknologikatalog for produktion af el og fjernvarme</t>
  </si>
  <si>
    <t>Fast D&amp;V</t>
  </si>
  <si>
    <t>Variabel D&amp;V</t>
  </si>
  <si>
    <t>€/MWh</t>
  </si>
  <si>
    <t>Levetid</t>
  </si>
  <si>
    <t>år</t>
  </si>
  <si>
    <t>COP/varmevirkninsgrad</t>
  </si>
  <si>
    <t>-</t>
  </si>
  <si>
    <t>Opstartsomkostninger</t>
  </si>
  <si>
    <t>mio. kr./MW</t>
  </si>
  <si>
    <t xml:space="preserve">Ciborrente + 1 pct. </t>
  </si>
  <si>
    <t>kr./MW/år</t>
  </si>
  <si>
    <t>kr./opstart</t>
  </si>
  <si>
    <t>Spotpris, Flispris an værk</t>
  </si>
  <si>
    <t>Tarif</t>
  </si>
  <si>
    <t>Afgift</t>
  </si>
  <si>
    <t>Antal opstart</t>
  </si>
  <si>
    <t>opstart/år</t>
  </si>
  <si>
    <t>Fuldlasttimer</t>
  </si>
  <si>
    <t>timer/år</t>
  </si>
  <si>
    <t>Investeringsannuitet</t>
  </si>
  <si>
    <t xml:space="preserve">Energiomkostninger </t>
  </si>
  <si>
    <t>D&amp;V</t>
  </si>
  <si>
    <t>Opstart</t>
  </si>
  <si>
    <t>Samlet</t>
  </si>
  <si>
    <t>kr./GJ</t>
  </si>
  <si>
    <t>Prisloft (simpelt gennemsnit)</t>
  </si>
  <si>
    <t>Gennemsnit</t>
  </si>
  <si>
    <t>€/MWh/opstart</t>
  </si>
  <si>
    <t xml:space="preserve">VOL
23/02052
BOKR
</t>
  </si>
  <si>
    <r>
      <rPr>
        <b/>
        <sz val="8"/>
        <color rgb="FF0067B1"/>
        <rFont val="Arial"/>
        <family val="2"/>
      </rPr>
      <t xml:space="preserve">FORSYNINGSTILSYNET
</t>
    </r>
    <r>
      <rPr>
        <sz val="8"/>
        <color rgb="FF0067B1"/>
        <rFont val="Arial"/>
        <family val="2"/>
      </rPr>
      <t xml:space="preserve">
Torvegade 10
3300 Frederiksværk
Tlf. 4171 5400
post@forsyningstilsynet.dk
www.forsyningstilsynet.dk 
</t>
    </r>
  </si>
  <si>
    <t>Simpelt gennemsnit for år 2024</t>
  </si>
  <si>
    <t>mio.€./MW</t>
  </si>
  <si>
    <t>€/MW/år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</si>
</sst>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17"/>
      <color theme="1"/>
      <name val="Arial"/>
      <family val="2"/>
    </font>
    <font>
      <sz val="8"/>
      <color rgb="FF0067B1"/>
      <name val="Arial"/>
      <family val="2"/>
    </font>
    <font>
      <b/>
      <sz val="8"/>
      <color rgb="FF0067B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rgb="FF0070C0"/>
      </top>
      <bottom/>
      <diagonal/>
    </border>
    <border>
      <left/>
      <right/>
      <top/>
      <bottom style="thick">
        <color rgb="FF0067B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Border="1"/>
    <xf numFmtId="0" fontId="4" fillId="2" borderId="0" xfId="0" applyFont="1" applyFill="1" applyBorder="1"/>
    <xf numFmtId="0" fontId="0" fillId="2" borderId="0" xfId="0" applyFill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0" xfId="0" quotePrefix="1" applyFont="1" applyFill="1" applyBorder="1"/>
    <xf numFmtId="2" fontId="3" fillId="2" borderId="0" xfId="0" applyNumberFormat="1" applyFont="1" applyFill="1" applyBorder="1"/>
    <xf numFmtId="164" fontId="3" fillId="2" borderId="0" xfId="0" applyNumberFormat="1" applyFont="1" applyFill="1" applyBorder="1"/>
    <xf numFmtId="10" fontId="3" fillId="2" borderId="0" xfId="2" applyNumberFormat="1" applyFont="1" applyFill="1" applyBorder="1"/>
    <xf numFmtId="165" fontId="3" fillId="2" borderId="0" xfId="1" applyNumberFormat="1" applyFont="1" applyFill="1" applyBorder="1"/>
    <xf numFmtId="9" fontId="3" fillId="2" borderId="0" xfId="2" applyFont="1" applyFill="1" applyBorder="1"/>
    <xf numFmtId="1" fontId="3" fillId="2" borderId="0" xfId="0" applyNumberFormat="1" applyFont="1" applyFill="1" applyBorder="1"/>
    <xf numFmtId="0" fontId="2" fillId="2" borderId="0" xfId="0" applyFont="1" applyFill="1" applyBorder="1"/>
    <xf numFmtId="9" fontId="3" fillId="2" borderId="0" xfId="2" applyFont="1" applyFill="1" applyBorder="1" applyAlignment="1">
      <alignment horizontal="center"/>
    </xf>
    <xf numFmtId="0" fontId="3" fillId="2" borderId="0" xfId="0" applyFont="1" applyFill="1" applyBorder="1" applyProtection="1"/>
    <xf numFmtId="0" fontId="3" fillId="2" borderId="2" xfId="0" applyFont="1" applyFill="1" applyBorder="1"/>
    <xf numFmtId="0" fontId="2" fillId="2" borderId="3" xfId="0" applyFont="1" applyFill="1" applyBorder="1"/>
    <xf numFmtId="10" fontId="3" fillId="2" borderId="0" xfId="0" applyNumberFormat="1" applyFont="1" applyFill="1" applyBorder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5" fillId="2" borderId="0" xfId="0" applyFont="1" applyFill="1" applyAlignment="1">
      <alignment horizontal="right" vertical="center"/>
    </xf>
    <xf numFmtId="0" fontId="5" fillId="2" borderId="5" xfId="0" applyFont="1" applyFill="1" applyBorder="1" applyAlignment="1">
      <alignment vertical="top"/>
    </xf>
    <xf numFmtId="0" fontId="5" fillId="2" borderId="5" xfId="0" applyFont="1" applyFill="1" applyBorder="1" applyAlignment="1">
      <alignment horizontal="right" vertical="top"/>
    </xf>
    <xf numFmtId="1" fontId="3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top" wrapText="1"/>
    </xf>
  </cellXfs>
  <cellStyles count="3">
    <cellStyle name="Komma" xfId="1" builtinId="3"/>
    <cellStyle name="Normal" xfId="0" builtinId="0"/>
    <cellStyle name="Procent" xfId="2" builtinId="5"/>
  </cellStyles>
  <dxfs count="1">
    <dxf>
      <fill>
        <patternFill patternType="lightUp">
          <bgColor rgb="FFC659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3"/>
  <sheetViews>
    <sheetView tabSelected="1" zoomScale="90" zoomScaleNormal="90" workbookViewId="0">
      <selection activeCell="G2" sqref="G2"/>
    </sheetView>
  </sheetViews>
  <sheetFormatPr defaultRowHeight="15" x14ac:dyDescent="0.25"/>
  <cols>
    <col min="1" max="1" width="9.140625" style="3"/>
    <col min="2" max="2" width="27.5703125" style="3" bestFit="1" customWidth="1"/>
    <col min="3" max="3" width="12.140625" style="3" bestFit="1" customWidth="1"/>
    <col min="4" max="4" width="22.85546875" style="3" bestFit="1" customWidth="1"/>
    <col min="5" max="5" width="11.28515625" style="3" bestFit="1" customWidth="1"/>
    <col min="6" max="6" width="9.140625" style="3"/>
    <col min="7" max="7" width="32.28515625" style="3" bestFit="1" customWidth="1"/>
    <col min="8" max="8" width="15" style="3" bestFit="1" customWidth="1"/>
    <col min="9" max="9" width="94.7109375" style="3" bestFit="1" customWidth="1"/>
    <col min="10" max="10" width="11.28515625" style="3" bestFit="1" customWidth="1"/>
    <col min="11" max="11" width="63.42578125" style="3" bestFit="1" customWidth="1"/>
    <col min="12" max="16384" width="9.140625" style="3"/>
  </cols>
  <sheetData>
    <row r="1" spans="2:14" ht="54" customHeight="1" thickTop="1" x14ac:dyDescent="0.25">
      <c r="B1" s="19"/>
      <c r="C1" s="19"/>
      <c r="D1" s="19"/>
      <c r="E1" s="19"/>
      <c r="F1" s="19"/>
      <c r="G1" s="19"/>
      <c r="H1" s="19"/>
      <c r="I1" s="19"/>
      <c r="J1" s="20" t="s">
        <v>66</v>
      </c>
      <c r="K1" s="19"/>
      <c r="L1" s="19"/>
      <c r="M1" s="19"/>
      <c r="N1" s="19"/>
    </row>
    <row r="2" spans="2:14" ht="21.75" x14ac:dyDescent="0.3">
      <c r="B2" s="21" t="s">
        <v>68</v>
      </c>
      <c r="C2" s="22"/>
      <c r="D2" s="22"/>
      <c r="E2" s="22"/>
      <c r="F2" s="22"/>
      <c r="G2" s="22"/>
      <c r="H2" s="22"/>
      <c r="I2" s="22"/>
      <c r="L2" s="22"/>
      <c r="M2" s="23"/>
      <c r="N2" s="23"/>
    </row>
    <row r="3" spans="2:14" ht="15.75" thickBot="1" x14ac:dyDescent="0.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2:14" ht="15.75" thickTop="1" x14ac:dyDescent="0.25"/>
    <row r="5" spans="2:14" ht="15.75" thickBot="1" x14ac:dyDescent="0.3">
      <c r="B5" s="1"/>
      <c r="C5" s="1"/>
      <c r="D5" s="2" t="s">
        <v>32</v>
      </c>
      <c r="E5" s="2" t="s">
        <v>33</v>
      </c>
      <c r="G5" s="4" t="s">
        <v>0</v>
      </c>
      <c r="H5" s="5"/>
      <c r="I5" s="4" t="s">
        <v>1</v>
      </c>
      <c r="J5" s="1"/>
      <c r="K5" s="28" t="s">
        <v>67</v>
      </c>
      <c r="L5" s="28"/>
      <c r="M5" s="28"/>
      <c r="N5" s="28"/>
    </row>
    <row r="6" spans="2:14" x14ac:dyDescent="0.25">
      <c r="B6" s="6"/>
      <c r="C6" s="1"/>
      <c r="D6" s="6" t="s">
        <v>34</v>
      </c>
      <c r="E6" s="1" t="s">
        <v>35</v>
      </c>
      <c r="G6" s="1" t="s">
        <v>2</v>
      </c>
      <c r="H6" s="7">
        <v>1.1275124270585692</v>
      </c>
      <c r="I6" s="1" t="s">
        <v>3</v>
      </c>
      <c r="J6" s="1"/>
      <c r="K6" s="28"/>
      <c r="L6" s="28"/>
      <c r="M6" s="28"/>
      <c r="N6" s="28"/>
    </row>
    <row r="7" spans="2:14" x14ac:dyDescent="0.25">
      <c r="B7" s="1" t="s">
        <v>36</v>
      </c>
      <c r="C7" s="1" t="s">
        <v>46</v>
      </c>
      <c r="D7" s="8">
        <f>I38*H10*H7</f>
        <v>7.3580713245640803</v>
      </c>
      <c r="E7" s="8">
        <f>J38*H10*H6</f>
        <v>6.3419304144237811</v>
      </c>
      <c r="G7" s="1" t="s">
        <v>4</v>
      </c>
      <c r="H7" s="7">
        <v>1.08</v>
      </c>
      <c r="I7" s="1" t="s">
        <v>3</v>
      </c>
      <c r="J7" s="1"/>
      <c r="K7" s="28"/>
      <c r="L7" s="28"/>
      <c r="M7" s="28"/>
      <c r="N7" s="28"/>
    </row>
    <row r="8" spans="2:14" x14ac:dyDescent="0.25">
      <c r="B8" s="1" t="s">
        <v>47</v>
      </c>
      <c r="C8" s="6" t="s">
        <v>44</v>
      </c>
      <c r="D8" s="9">
        <f>H33+0.01</f>
        <v>5.306410769230769E-2</v>
      </c>
      <c r="E8" s="9">
        <f>D8</f>
        <v>5.306410769230769E-2</v>
      </c>
      <c r="G8" s="1" t="s">
        <v>5</v>
      </c>
      <c r="H8" s="7">
        <v>1.0538329461670539</v>
      </c>
      <c r="I8" s="1" t="s">
        <v>3</v>
      </c>
      <c r="J8" s="1"/>
      <c r="K8" s="28"/>
      <c r="L8" s="28"/>
      <c r="M8" s="28"/>
      <c r="N8" s="28"/>
    </row>
    <row r="9" spans="2:14" x14ac:dyDescent="0.25">
      <c r="B9" s="1" t="s">
        <v>38</v>
      </c>
      <c r="C9" s="1" t="s">
        <v>48</v>
      </c>
      <c r="D9" s="10">
        <f>I39*H10*H7</f>
        <v>17111.793778056002</v>
      </c>
      <c r="E9" s="10">
        <f>J39*H10*H6</f>
        <v>294765.77982533071</v>
      </c>
      <c r="G9" s="1"/>
      <c r="H9" s="1"/>
      <c r="I9" s="1"/>
      <c r="J9" s="1"/>
      <c r="K9" s="28"/>
      <c r="L9" s="28"/>
      <c r="M9" s="28"/>
      <c r="N9" s="28"/>
    </row>
    <row r="10" spans="2:14" x14ac:dyDescent="0.25">
      <c r="B10" s="1" t="s">
        <v>39</v>
      </c>
      <c r="C10" s="1" t="s">
        <v>14</v>
      </c>
      <c r="D10" s="10">
        <f>I40*H10*H7</f>
        <v>14.459465742457324</v>
      </c>
      <c r="E10" s="10">
        <f>J40*H10*H6</f>
        <v>23.134647568109287</v>
      </c>
      <c r="G10" s="1" t="s">
        <v>6</v>
      </c>
      <c r="H10" s="1">
        <v>7.45</v>
      </c>
      <c r="I10" s="1"/>
      <c r="J10" s="1"/>
      <c r="K10" s="28"/>
      <c r="L10" s="28"/>
      <c r="M10" s="28"/>
      <c r="N10" s="28"/>
    </row>
    <row r="11" spans="2:14" x14ac:dyDescent="0.25">
      <c r="B11" s="1" t="s">
        <v>41</v>
      </c>
      <c r="C11" s="1" t="s">
        <v>42</v>
      </c>
      <c r="D11" s="1">
        <f>I41</f>
        <v>25</v>
      </c>
      <c r="E11" s="1">
        <f>J41</f>
        <v>25</v>
      </c>
      <c r="G11" s="1"/>
      <c r="H11" s="1"/>
      <c r="I11" s="1"/>
      <c r="J11" s="1"/>
      <c r="K11" s="28"/>
      <c r="L11" s="28"/>
      <c r="M11" s="28"/>
      <c r="N11" s="28"/>
    </row>
    <row r="12" spans="2:14" ht="15.75" thickBot="1" x14ac:dyDescent="0.3">
      <c r="B12" s="1" t="s">
        <v>43</v>
      </c>
      <c r="C12" s="6" t="s">
        <v>44</v>
      </c>
      <c r="D12" s="11">
        <f>I42</f>
        <v>3.8</v>
      </c>
      <c r="E12" s="11">
        <f>J42</f>
        <v>1.1401190000000001</v>
      </c>
      <c r="G12" s="4" t="s">
        <v>7</v>
      </c>
      <c r="H12" s="5"/>
      <c r="I12" s="4" t="s">
        <v>1</v>
      </c>
      <c r="J12" s="1"/>
      <c r="K12" s="28"/>
      <c r="L12" s="28"/>
      <c r="M12" s="28"/>
      <c r="N12" s="28"/>
    </row>
    <row r="13" spans="2:14" x14ac:dyDescent="0.25">
      <c r="B13" s="1" t="s">
        <v>45</v>
      </c>
      <c r="C13" s="1" t="s">
        <v>49</v>
      </c>
      <c r="D13" s="12">
        <f>I43*H10*H7</f>
        <v>85.558968890280013</v>
      </c>
      <c r="E13" s="12">
        <v>0</v>
      </c>
      <c r="G13" s="1" t="s">
        <v>8</v>
      </c>
      <c r="H13" s="1">
        <v>0.5</v>
      </c>
      <c r="I13" s="1" t="s">
        <v>9</v>
      </c>
      <c r="J13" s="1"/>
      <c r="K13" s="28"/>
      <c r="L13" s="28"/>
      <c r="M13" s="28"/>
      <c r="N13" s="28"/>
    </row>
    <row r="14" spans="2:14" x14ac:dyDescent="0.25">
      <c r="B14" s="1" t="s">
        <v>50</v>
      </c>
      <c r="C14" s="1" t="s">
        <v>14</v>
      </c>
      <c r="D14" s="12">
        <f>H24</f>
        <v>1064</v>
      </c>
      <c r="E14" s="12">
        <f>H27*H8*3.6</f>
        <v>199.93318654681349</v>
      </c>
      <c r="G14" s="1" t="s">
        <v>10</v>
      </c>
      <c r="H14" s="1">
        <v>0.8</v>
      </c>
      <c r="I14" s="1" t="s">
        <v>11</v>
      </c>
      <c r="J14" s="1"/>
      <c r="K14" s="1"/>
    </row>
    <row r="15" spans="2:14" x14ac:dyDescent="0.25">
      <c r="B15" s="1" t="s">
        <v>51</v>
      </c>
      <c r="C15" s="1" t="s">
        <v>14</v>
      </c>
      <c r="D15" s="12">
        <f>H30*H8</f>
        <v>129.62145237854764</v>
      </c>
      <c r="E15" s="6">
        <v>0</v>
      </c>
      <c r="G15" s="1"/>
      <c r="H15" s="1"/>
      <c r="I15" s="1"/>
      <c r="J15" s="1"/>
      <c r="K15" s="1"/>
    </row>
    <row r="16" spans="2:14" ht="15.75" thickBot="1" x14ac:dyDescent="0.3">
      <c r="B16" s="1" t="s">
        <v>52</v>
      </c>
      <c r="C16" s="1" t="s">
        <v>14</v>
      </c>
      <c r="D16" s="1">
        <v>8</v>
      </c>
      <c r="E16" s="1">
        <f>H13*3.6</f>
        <v>1.8</v>
      </c>
      <c r="G16" s="4" t="s">
        <v>12</v>
      </c>
      <c r="H16" s="5"/>
      <c r="I16" s="4" t="s">
        <v>1</v>
      </c>
      <c r="J16" s="1"/>
      <c r="K16" s="1"/>
    </row>
    <row r="17" spans="2:11" x14ac:dyDescent="0.25">
      <c r="B17" s="1" t="s">
        <v>53</v>
      </c>
      <c r="C17" s="1" t="s">
        <v>54</v>
      </c>
      <c r="D17" s="1">
        <v>100</v>
      </c>
      <c r="E17" s="1"/>
      <c r="G17" s="13" t="s">
        <v>13</v>
      </c>
      <c r="H17" s="1" t="s">
        <v>14</v>
      </c>
      <c r="I17" s="1"/>
      <c r="J17" s="1"/>
      <c r="K17" s="1"/>
    </row>
    <row r="18" spans="2:11" x14ac:dyDescent="0.25">
      <c r="B18" s="1" t="s">
        <v>55</v>
      </c>
      <c r="C18" s="1" t="s">
        <v>56</v>
      </c>
      <c r="D18" s="1">
        <v>5000</v>
      </c>
      <c r="E18" s="1">
        <f>$D$18</f>
        <v>5000</v>
      </c>
      <c r="G18" s="1" t="s">
        <v>15</v>
      </c>
      <c r="H18" s="12">
        <v>816</v>
      </c>
      <c r="I18" s="1" t="s">
        <v>16</v>
      </c>
      <c r="J18" s="1"/>
      <c r="K18" s="1"/>
    </row>
    <row r="19" spans="2:11" x14ac:dyDescent="0.25">
      <c r="B19" s="1"/>
      <c r="C19" s="1"/>
      <c r="D19" s="1"/>
      <c r="E19" s="1"/>
      <c r="G19" s="1" t="s">
        <v>17</v>
      </c>
      <c r="H19" s="12">
        <v>1188</v>
      </c>
      <c r="I19" s="1" t="s">
        <v>18</v>
      </c>
      <c r="J19" s="1"/>
      <c r="K19" s="1"/>
    </row>
    <row r="20" spans="2:11" x14ac:dyDescent="0.25">
      <c r="B20" s="1"/>
      <c r="C20" s="1"/>
      <c r="D20" s="1"/>
      <c r="E20" s="1"/>
      <c r="G20" s="1"/>
      <c r="H20" s="1"/>
      <c r="I20" s="1"/>
      <c r="J20" s="1"/>
      <c r="K20" s="1"/>
    </row>
    <row r="21" spans="2:11" x14ac:dyDescent="0.25">
      <c r="B21" s="1"/>
      <c r="C21" s="1"/>
      <c r="D21" s="1"/>
      <c r="E21" s="1"/>
      <c r="G21" s="13" t="s">
        <v>19</v>
      </c>
      <c r="H21" s="1" t="s">
        <v>14</v>
      </c>
      <c r="I21" s="13" t="s">
        <v>20</v>
      </c>
      <c r="J21" s="1"/>
      <c r="K21" s="1"/>
    </row>
    <row r="22" spans="2:11" x14ac:dyDescent="0.25">
      <c r="B22" s="1" t="s">
        <v>57</v>
      </c>
      <c r="C22" s="1" t="s">
        <v>14</v>
      </c>
      <c r="D22" s="12">
        <f>PMT(D8,D11,-D7*10^6)/D18</f>
        <v>107.64416797870967</v>
      </c>
      <c r="E22" s="12">
        <f>PMT(E8,E11,-E7*10^6)/E18</f>
        <v>92.778636238615888</v>
      </c>
      <c r="G22" s="1" t="s">
        <v>21</v>
      </c>
      <c r="H22" s="12">
        <v>816</v>
      </c>
      <c r="I22" s="14">
        <v>0.33333333333333331</v>
      </c>
      <c r="J22" s="1"/>
      <c r="K22" s="1"/>
    </row>
    <row r="23" spans="2:11" x14ac:dyDescent="0.25">
      <c r="B23" s="1" t="s">
        <v>58</v>
      </c>
      <c r="C23" s="1" t="s">
        <v>14</v>
      </c>
      <c r="D23" s="12">
        <f>(D14+D15+D16)/D12</f>
        <v>316.21617167856522</v>
      </c>
      <c r="E23" s="12">
        <f>(E14+E15+E16)/E12</f>
        <v>176.94046546616053</v>
      </c>
      <c r="G23" s="1" t="s">
        <v>22</v>
      </c>
      <c r="H23" s="12">
        <v>1188</v>
      </c>
      <c r="I23" s="14">
        <v>0.66666666666666663</v>
      </c>
      <c r="J23" s="1"/>
      <c r="K23" s="1"/>
    </row>
    <row r="24" spans="2:11" x14ac:dyDescent="0.25">
      <c r="B24" s="1" t="s">
        <v>59</v>
      </c>
      <c r="C24" s="1" t="s">
        <v>14</v>
      </c>
      <c r="D24" s="12">
        <f>D9/D18+D10</f>
        <v>17.881824498068525</v>
      </c>
      <c r="E24" s="12">
        <f>E9/E18+E10</f>
        <v>82.087803533175432</v>
      </c>
      <c r="G24" s="1" t="s">
        <v>23</v>
      </c>
      <c r="H24" s="12">
        <f>SUMPRODUCT(H22:H23,I22:I23)</f>
        <v>1064</v>
      </c>
      <c r="I24" s="1"/>
      <c r="J24" s="1"/>
      <c r="K24" s="1"/>
    </row>
    <row r="25" spans="2:11" x14ac:dyDescent="0.25">
      <c r="B25" s="1" t="s">
        <v>60</v>
      </c>
      <c r="C25" s="1" t="s">
        <v>14</v>
      </c>
      <c r="D25" s="12">
        <f>D13*D17/D18</f>
        <v>1.7111793778056001</v>
      </c>
      <c r="E25" s="12"/>
      <c r="G25" s="1"/>
      <c r="H25" s="1"/>
      <c r="I25" s="1"/>
      <c r="J25" s="1"/>
      <c r="K25" s="1"/>
    </row>
    <row r="26" spans="2:11" x14ac:dyDescent="0.25">
      <c r="B26" s="1" t="s">
        <v>61</v>
      </c>
      <c r="C26" s="1" t="s">
        <v>14</v>
      </c>
      <c r="D26" s="12">
        <f>SUM(D22:D25)</f>
        <v>443.453343533149</v>
      </c>
      <c r="E26" s="12">
        <f t="shared" ref="E26" si="0">SUM(E22:E25)</f>
        <v>351.80690523795187</v>
      </c>
      <c r="G26" s="13" t="s">
        <v>24</v>
      </c>
      <c r="H26" s="1"/>
      <c r="I26" s="1"/>
      <c r="J26" s="1"/>
      <c r="K26" s="1"/>
    </row>
    <row r="27" spans="2:11" x14ac:dyDescent="0.25">
      <c r="B27" s="1" t="s">
        <v>61</v>
      </c>
      <c r="C27" s="1" t="s">
        <v>62</v>
      </c>
      <c r="D27" s="12">
        <f>D26/3.6</f>
        <v>123.18148431476361</v>
      </c>
      <c r="E27" s="12">
        <f t="shared" ref="E27" si="1">E26/3.6</f>
        <v>97.724140343875519</v>
      </c>
      <c r="G27" s="1" t="s">
        <v>25</v>
      </c>
      <c r="H27" s="8">
        <v>52.7</v>
      </c>
      <c r="I27" s="1" t="s">
        <v>3</v>
      </c>
      <c r="J27" s="1"/>
      <c r="K27" s="1"/>
    </row>
    <row r="28" spans="2:11" x14ac:dyDescent="0.25">
      <c r="B28" s="1"/>
      <c r="C28" s="1"/>
      <c r="D28" s="12"/>
      <c r="E28" s="12"/>
      <c r="G28" s="1"/>
      <c r="H28" s="12"/>
      <c r="I28" s="1"/>
      <c r="J28" s="1"/>
      <c r="K28" s="1"/>
    </row>
    <row r="29" spans="2:11" x14ac:dyDescent="0.25">
      <c r="B29" s="1" t="s">
        <v>20</v>
      </c>
      <c r="C29" s="1"/>
      <c r="D29" s="11">
        <v>0.5</v>
      </c>
      <c r="E29" s="11">
        <v>0.5</v>
      </c>
      <c r="G29" s="13" t="s">
        <v>26</v>
      </c>
      <c r="H29" s="1"/>
      <c r="I29" s="1"/>
      <c r="J29" s="1"/>
      <c r="K29" s="1"/>
    </row>
    <row r="30" spans="2:11" x14ac:dyDescent="0.25">
      <c r="B30" s="1"/>
      <c r="C30" s="1"/>
      <c r="D30" s="11"/>
      <c r="E30" s="11"/>
      <c r="G30" s="1" t="s">
        <v>27</v>
      </c>
      <c r="H30" s="1">
        <v>123</v>
      </c>
      <c r="I30" s="1" t="s">
        <v>3</v>
      </c>
      <c r="J30" s="15"/>
      <c r="K30" s="1"/>
    </row>
    <row r="31" spans="2:11" x14ac:dyDescent="0.25">
      <c r="B31" s="13" t="s">
        <v>63</v>
      </c>
      <c r="C31" s="1"/>
      <c r="D31" s="1"/>
      <c r="E31" s="1"/>
      <c r="G31" s="1"/>
      <c r="H31" s="1"/>
      <c r="I31" s="1"/>
      <c r="J31" s="1"/>
      <c r="K31" s="1"/>
    </row>
    <row r="32" spans="2:11" ht="15.75" thickBot="1" x14ac:dyDescent="0.3">
      <c r="B32" s="16" t="s">
        <v>64</v>
      </c>
      <c r="C32" s="16" t="s">
        <v>14</v>
      </c>
      <c r="D32" s="26">
        <f>SUMPRODUCT(D26:E26,D29:E29)</f>
        <v>397.6301243855504</v>
      </c>
      <c r="E32" s="26"/>
      <c r="G32" s="4" t="s">
        <v>28</v>
      </c>
      <c r="H32" s="5"/>
      <c r="I32" s="4" t="s">
        <v>1</v>
      </c>
      <c r="J32" s="1"/>
      <c r="K32" s="1"/>
    </row>
    <row r="33" spans="2:11" ht="15.75" thickBot="1" x14ac:dyDescent="0.3">
      <c r="B33" s="17" t="s">
        <v>64</v>
      </c>
      <c r="C33" s="17" t="s">
        <v>62</v>
      </c>
      <c r="D33" s="27">
        <f>D32/3.6</f>
        <v>110.45281232931956</v>
      </c>
      <c r="E33" s="27"/>
      <c r="G33" s="1" t="s">
        <v>29</v>
      </c>
      <c r="H33" s="18">
        <v>4.3064107692307688E-2</v>
      </c>
      <c r="I33" s="1" t="s">
        <v>30</v>
      </c>
      <c r="J33" s="1"/>
      <c r="K33" s="1"/>
    </row>
    <row r="34" spans="2:11" ht="15.75" thickTop="1" x14ac:dyDescent="0.25">
      <c r="G34" s="1"/>
      <c r="H34" s="18"/>
      <c r="I34" s="1"/>
      <c r="J34" s="1"/>
      <c r="K34" s="1"/>
    </row>
    <row r="35" spans="2:11" ht="15.75" thickBot="1" x14ac:dyDescent="0.3">
      <c r="G35" s="4" t="s">
        <v>31</v>
      </c>
      <c r="H35" s="5"/>
      <c r="I35" s="5"/>
      <c r="J35" s="5"/>
      <c r="K35" s="5"/>
    </row>
    <row r="36" spans="2:11" x14ac:dyDescent="0.25">
      <c r="G36" s="1"/>
      <c r="H36" s="1"/>
      <c r="I36" s="13" t="s">
        <v>32</v>
      </c>
      <c r="J36" s="13" t="s">
        <v>33</v>
      </c>
      <c r="K36" s="13" t="s">
        <v>1</v>
      </c>
    </row>
    <row r="37" spans="2:11" x14ac:dyDescent="0.25">
      <c r="G37" s="6"/>
      <c r="H37" s="1"/>
      <c r="I37" s="6" t="s">
        <v>34</v>
      </c>
      <c r="J37" s="1" t="s">
        <v>35</v>
      </c>
      <c r="K37" s="1"/>
    </row>
    <row r="38" spans="2:11" x14ac:dyDescent="0.25">
      <c r="G38" s="1" t="s">
        <v>36</v>
      </c>
      <c r="H38" s="1" t="s">
        <v>69</v>
      </c>
      <c r="I38" s="8">
        <v>0.91450053748000004</v>
      </c>
      <c r="J38" s="8">
        <v>0.75499462977999998</v>
      </c>
      <c r="K38" s="1" t="s">
        <v>37</v>
      </c>
    </row>
    <row r="39" spans="2:11" x14ac:dyDescent="0.25">
      <c r="G39" s="1" t="s">
        <v>38</v>
      </c>
      <c r="H39" s="1" t="s">
        <v>70</v>
      </c>
      <c r="I39" s="10">
        <v>2126.7454360000002</v>
      </c>
      <c r="J39" s="10">
        <v>35091.299694000001</v>
      </c>
      <c r="K39" s="1" t="s">
        <v>37</v>
      </c>
    </row>
    <row r="40" spans="2:11" x14ac:dyDescent="0.25">
      <c r="G40" s="1" t="s">
        <v>39</v>
      </c>
      <c r="H40" s="1" t="s">
        <v>40</v>
      </c>
      <c r="I40" s="10">
        <v>1.7970998934200002</v>
      </c>
      <c r="J40" s="10">
        <v>2.7541353396199999</v>
      </c>
      <c r="K40" s="1" t="s">
        <v>37</v>
      </c>
    </row>
    <row r="41" spans="2:11" x14ac:dyDescent="0.25">
      <c r="G41" s="1" t="s">
        <v>41</v>
      </c>
      <c r="H41" s="1" t="s">
        <v>42</v>
      </c>
      <c r="I41" s="1">
        <v>25</v>
      </c>
      <c r="J41" s="1">
        <v>25</v>
      </c>
      <c r="K41" s="1" t="s">
        <v>37</v>
      </c>
    </row>
    <row r="42" spans="2:11" x14ac:dyDescent="0.25">
      <c r="G42" s="1" t="s">
        <v>43</v>
      </c>
      <c r="H42" s="6" t="s">
        <v>44</v>
      </c>
      <c r="I42" s="11">
        <v>3.8</v>
      </c>
      <c r="J42" s="11">
        <v>1.1401190000000001</v>
      </c>
      <c r="K42" s="1" t="s">
        <v>37</v>
      </c>
    </row>
    <row r="43" spans="2:11" x14ac:dyDescent="0.25">
      <c r="G43" s="1" t="s">
        <v>45</v>
      </c>
      <c r="H43" s="1" t="s">
        <v>65</v>
      </c>
      <c r="I43" s="12">
        <v>10.633727180000001</v>
      </c>
      <c r="J43" s="12">
        <v>0</v>
      </c>
      <c r="K43" s="1" t="s">
        <v>37</v>
      </c>
    </row>
  </sheetData>
  <sheetProtection algorithmName="SHA-512" hashValue="woXXqBSOX2UfoejrtUFhUxQhtnoQkaeof2bHEp5a6+1f8Q9eWZCP810wZS1WbLkNr2qxL0259OQYdV54AG7Uww==" saltValue="+2tm5V5qndI8PaquNf2xlA==" spinCount="100000" sheet="1" objects="1" scenarios="1"/>
  <mergeCells count="3">
    <mergeCell ref="D32:E32"/>
    <mergeCell ref="D33:E33"/>
    <mergeCell ref="K5:N13"/>
  </mergeCells>
  <conditionalFormatting sqref="B29:B30">
    <cfRule type="expression" dxfId="0" priority="1">
      <formula>SUM($D$29:$E$29)&lt;&gt;1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Rank Larsen</dc:creator>
  <cp:lastModifiedBy>Bo Kristensen</cp:lastModifiedBy>
  <dcterms:created xsi:type="dcterms:W3CDTF">2023-10-03T06:53:56Z</dcterms:created>
  <dcterms:modified xsi:type="dcterms:W3CDTF">2023-10-30T08:46:21Z</dcterms:modified>
</cp:coreProperties>
</file>